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3 Reimbursement Unit\Hospitals\GME\SFY23\"/>
    </mc:Choice>
  </mc:AlternateContent>
  <xr:revisionPtr revIDLastSave="0" documentId="13_ncr:1_{60B4080D-CB51-42E1-A41A-49C1CF08E7D6}" xr6:coauthVersionLast="47" xr6:coauthVersionMax="47" xr10:uidLastSave="{00000000-0000-0000-0000-000000000000}"/>
  <bookViews>
    <workbookView xWindow="-120" yWindow="-120" windowWidth="29040" windowHeight="15840" tabRatio="792" xr2:uid="{00000000-000D-0000-FFFF-FFFF00000000}"/>
  </bookViews>
  <sheets>
    <sheet name="Summary" sheetId="12" r:id="rId1"/>
    <sheet name="Upload" sheetId="17" r:id="rId2"/>
  </sheets>
  <externalReferences>
    <externalReference r:id="rId3"/>
    <externalReference r:id="rId4"/>
    <externalReference r:id="rId5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FindCounty">[2]BaseMedicaid!$M$4:$Q$103</definedName>
    <definedName name="HOSP">#REF!</definedName>
    <definedName name="HOSPGAP">'[3]UPL Model'!$O$12:$O$300</definedName>
    <definedName name="HOSPITALGRP">'[3]UPL Model'!$A$12:$A$300</definedName>
    <definedName name="HOSPTYPE">#REF!</definedName>
    <definedName name="IPNPData">#REF!</definedName>
    <definedName name="Payment">Summary!$C$19:$I$27</definedName>
    <definedName name="PMTSANNLZD">'[3]UPL Model'!$N$12:$N$300</definedName>
    <definedName name="ServiceDate">[3]Lookup!$I$2:$I$5</definedName>
    <definedName name="UPLMOD">'[3]UPL Model'!$A$12:$O$350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2" l="1"/>
  <c r="J11" i="12"/>
  <c r="H5" i="12"/>
  <c r="H13" i="12"/>
  <c r="H11" i="12"/>
  <c r="H9" i="12"/>
  <c r="J18" i="12" l="1"/>
  <c r="I18" i="12"/>
  <c r="H18" i="12"/>
  <c r="G18" i="12"/>
  <c r="F18" i="12"/>
  <c r="D12" i="12"/>
  <c r="J9" i="12"/>
  <c r="H8" i="12"/>
  <c r="J5" i="12"/>
  <c r="H4" i="12"/>
  <c r="D7" i="12" l="1"/>
  <c r="E7" i="12" s="1"/>
  <c r="D8" i="12"/>
  <c r="E8" i="12" s="1"/>
  <c r="F8" i="12" s="1"/>
  <c r="D9" i="12"/>
  <c r="E9" i="12" s="1"/>
  <c r="F9" i="12" s="1"/>
  <c r="D6" i="12"/>
  <c r="E6" i="12" s="1"/>
  <c r="D28" i="12"/>
  <c r="H20" i="12" l="1"/>
  <c r="J6" i="17" s="1"/>
  <c r="H24" i="12"/>
  <c r="J10" i="17" s="1"/>
  <c r="H19" i="12"/>
  <c r="J5" i="17" s="1"/>
  <c r="H22" i="12"/>
  <c r="J8" i="17" s="1"/>
  <c r="H23" i="12"/>
  <c r="J9" i="17" s="1"/>
  <c r="H21" i="12"/>
  <c r="J7" i="17" s="1"/>
  <c r="H25" i="12"/>
  <c r="J11" i="17" s="1"/>
  <c r="H26" i="12"/>
  <c r="J12" i="17" s="1"/>
  <c r="H27" i="12"/>
  <c r="J13" i="17" s="1"/>
  <c r="I21" i="12"/>
  <c r="N7" i="17" s="1"/>
  <c r="I26" i="12"/>
  <c r="N12" i="17" s="1"/>
  <c r="I19" i="12"/>
  <c r="N5" i="17" s="1"/>
  <c r="I23" i="12"/>
  <c r="N9" i="17" s="1"/>
  <c r="I22" i="12"/>
  <c r="N8" i="17" s="1"/>
  <c r="I24" i="12"/>
  <c r="N10" i="17" s="1"/>
  <c r="I20" i="12"/>
  <c r="N6" i="17" s="1"/>
  <c r="I27" i="12"/>
  <c r="N13" i="17" s="1"/>
  <c r="I25" i="12"/>
  <c r="N11" i="17" s="1"/>
  <c r="E12" i="12"/>
  <c r="F12" i="12" s="1"/>
  <c r="F7" i="12"/>
  <c r="G22" i="12" s="1"/>
  <c r="F8" i="17" s="1"/>
  <c r="F6" i="12"/>
  <c r="N14" i="17" l="1"/>
  <c r="J14" i="17"/>
  <c r="G25" i="12"/>
  <c r="F11" i="17" s="1"/>
  <c r="G23" i="12"/>
  <c r="F9" i="17" s="1"/>
  <c r="G21" i="12"/>
  <c r="F7" i="17" s="1"/>
  <c r="G26" i="12"/>
  <c r="F12" i="17" s="1"/>
  <c r="G19" i="12"/>
  <c r="F5" i="17" s="1"/>
  <c r="G24" i="12"/>
  <c r="F10" i="17" s="1"/>
  <c r="G20" i="12"/>
  <c r="F6" i="17" s="1"/>
  <c r="G27" i="12"/>
  <c r="F13" i="17" s="1"/>
  <c r="H28" i="12"/>
  <c r="E27" i="12"/>
  <c r="E24" i="12"/>
  <c r="E19" i="12"/>
  <c r="E21" i="12"/>
  <c r="E26" i="12"/>
  <c r="E23" i="12"/>
  <c r="E20" i="12"/>
  <c r="E25" i="12"/>
  <c r="E22" i="12"/>
  <c r="F20" i="12"/>
  <c r="B6" i="17" s="1"/>
  <c r="F22" i="12"/>
  <c r="B8" i="17" s="1"/>
  <c r="F19" i="12"/>
  <c r="B5" i="17" s="1"/>
  <c r="F27" i="12"/>
  <c r="B13" i="17" s="1"/>
  <c r="F24" i="12"/>
  <c r="B10" i="17" s="1"/>
  <c r="F21" i="12"/>
  <c r="B7" i="17" s="1"/>
  <c r="F26" i="12"/>
  <c r="B12" i="17" s="1"/>
  <c r="F23" i="12"/>
  <c r="B9" i="17" s="1"/>
  <c r="F25" i="12"/>
  <c r="B11" i="17" s="1"/>
  <c r="F14" i="17" l="1"/>
  <c r="B14" i="17"/>
  <c r="G28" i="12"/>
  <c r="F28" i="12"/>
  <c r="J19" i="12"/>
  <c r="E28" i="12"/>
  <c r="J20" i="12" l="1"/>
  <c r="J24" i="12"/>
  <c r="J22" i="12"/>
  <c r="I28" i="12"/>
  <c r="J28" i="12" s="1"/>
  <c r="J21" i="12"/>
  <c r="J25" i="12"/>
  <c r="J26" i="12"/>
  <c r="J23" i="12"/>
  <c r="J27" i="12"/>
</calcChain>
</file>

<file path=xl/sharedStrings.xml><?xml version="1.0" encoding="utf-8"?>
<sst xmlns="http://schemas.openxmlformats.org/spreadsheetml/2006/main" count="156" uniqueCount="56">
  <si>
    <t>Percentage</t>
  </si>
  <si>
    <t>Total</t>
  </si>
  <si>
    <t>State</t>
  </si>
  <si>
    <t>Federal</t>
  </si>
  <si>
    <t>State Portion</t>
  </si>
  <si>
    <t>Medicaid Base</t>
  </si>
  <si>
    <t>1st Qtr Amt</t>
  </si>
  <si>
    <t>Source of Funds - Combined</t>
  </si>
  <si>
    <t>2nd Qtr Amt</t>
  </si>
  <si>
    <t>3rd Qtr Amt</t>
  </si>
  <si>
    <t>4th Qtr Amt</t>
  </si>
  <si>
    <t>Total Amt</t>
  </si>
  <si>
    <t>Totals</t>
  </si>
  <si>
    <t>Hospital</t>
  </si>
  <si>
    <t>Medicaid GME Calculations</t>
  </si>
  <si>
    <t>State Fiscal Year</t>
  </si>
  <si>
    <t>UNIVERSITY OF UTAH HOSP</t>
  </si>
  <si>
    <t>PRIMARY CHILDRENS MED CNTR</t>
  </si>
  <si>
    <t>LDS HOSPITAL</t>
  </si>
  <si>
    <t>INTERMOUNTAIN MEDICAL CENTER</t>
  </si>
  <si>
    <t>UTAH VALLEY REG MED CNTR</t>
  </si>
  <si>
    <t>MCKAY DEE HOSPITAL</t>
  </si>
  <si>
    <t>ST MARKS HOSPITAL</t>
  </si>
  <si>
    <t>SALT LAKE REG MED CNTR</t>
  </si>
  <si>
    <t>UNIVERSITY HOSPITAL PSYCH</t>
  </si>
  <si>
    <t>Total Payment</t>
  </si>
  <si>
    <t>County Codes</t>
  </si>
  <si>
    <t>18</t>
  </si>
  <si>
    <t>29</t>
  </si>
  <si>
    <t>25</t>
  </si>
  <si>
    <t>ProvNum</t>
  </si>
  <si>
    <t>County</t>
  </si>
  <si>
    <t>ProvDue</t>
  </si>
  <si>
    <t>For BMO Gross Adjustment Database - Upload Form</t>
  </si>
  <si>
    <t>Medicaid Base - Q4</t>
  </si>
  <si>
    <t>Medicaid Base - Q3</t>
  </si>
  <si>
    <t>Medicaid Base - Q2</t>
  </si>
  <si>
    <t>Fed.Match Rate</t>
  </si>
  <si>
    <t>Medicaid Base - Q1</t>
  </si>
  <si>
    <t>Source of Funds</t>
  </si>
  <si>
    <t>876000525088</t>
  </si>
  <si>
    <t>942854058211</t>
  </si>
  <si>
    <t>870269232209</t>
  </si>
  <si>
    <t>870269232338</t>
  </si>
  <si>
    <t>870269232162</t>
  </si>
  <si>
    <t>870269232274</t>
  </si>
  <si>
    <t>621650573021</t>
  </si>
  <si>
    <t>621795214002</t>
  </si>
  <si>
    <t>876000525494</t>
  </si>
  <si>
    <t>Q1</t>
  </si>
  <si>
    <t>Q2</t>
  </si>
  <si>
    <t>Q3</t>
  </si>
  <si>
    <t>Q4</t>
  </si>
  <si>
    <t>1588656870</t>
  </si>
  <si>
    <t>NPI</t>
  </si>
  <si>
    <t>1699889576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</si>
</sst>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rgb="FF222222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39" fillId="20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/>
    <xf numFmtId="38" fontId="1" fillId="0" borderId="0" xfId="0" applyNumberFormat="1" applyFont="1"/>
    <xf numFmtId="38" fontId="22" fillId="0" borderId="0" xfId="0" applyNumberFormat="1" applyFont="1" applyAlignment="1">
      <alignment horizontal="center"/>
    </xf>
    <xf numFmtId="38" fontId="23" fillId="0" borderId="10" xfId="0" applyNumberFormat="1" applyFont="1" applyBorder="1"/>
    <xf numFmtId="38" fontId="1" fillId="0" borderId="10" xfId="0" applyNumberFormat="1" applyFont="1" applyBorder="1"/>
    <xf numFmtId="38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"/>
    </xf>
    <xf numFmtId="38" fontId="20" fillId="0" borderId="0" xfId="0" applyNumberFormat="1" applyFont="1"/>
    <xf numFmtId="10" fontId="1" fillId="0" borderId="0" xfId="0" applyNumberFormat="1" applyFont="1"/>
    <xf numFmtId="38" fontId="1" fillId="0" borderId="11" xfId="0" applyNumberFormat="1" applyFont="1" applyBorder="1"/>
    <xf numFmtId="9" fontId="20" fillId="0" borderId="11" xfId="0" applyNumberFormat="1" applyFont="1" applyBorder="1"/>
    <xf numFmtId="9" fontId="20" fillId="0" borderId="0" xfId="0" applyNumberFormat="1" applyFont="1"/>
    <xf numFmtId="38" fontId="19" fillId="0" borderId="13" xfId="0" applyNumberFormat="1" applyFont="1" applyBorder="1"/>
    <xf numFmtId="38" fontId="19" fillId="0" borderId="13" xfId="0" applyNumberFormat="1" applyFont="1" applyBorder="1" applyAlignment="1">
      <alignment horizontal="center"/>
    </xf>
    <xf numFmtId="38" fontId="19" fillId="0" borderId="10" xfId="0" applyNumberFormat="1" applyFont="1" applyBorder="1" applyAlignment="1">
      <alignment horizontal="right"/>
    </xf>
    <xf numFmtId="38" fontId="19" fillId="0" borderId="12" xfId="0" applyNumberFormat="1" applyFont="1" applyBorder="1" applyAlignment="1">
      <alignment horizontal="right" wrapText="1"/>
    </xf>
    <xf numFmtId="164" fontId="1" fillId="0" borderId="0" xfId="0" applyNumberFormat="1" applyFont="1"/>
    <xf numFmtId="164" fontId="19" fillId="0" borderId="0" xfId="0" applyNumberFormat="1" applyFont="1"/>
    <xf numFmtId="164" fontId="20" fillId="0" borderId="11" xfId="0" applyNumberFormat="1" applyFont="1" applyBorder="1"/>
    <xf numFmtId="164" fontId="1" fillId="0" borderId="11" xfId="0" applyNumberFormat="1" applyFont="1" applyBorder="1"/>
    <xf numFmtId="164" fontId="19" fillId="0" borderId="11" xfId="0" applyNumberFormat="1" applyFont="1" applyBorder="1"/>
    <xf numFmtId="38" fontId="24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1" fillId="24" borderId="0" xfId="0" applyNumberFormat="1" applyFont="1" applyFill="1"/>
    <xf numFmtId="38" fontId="22" fillId="0" borderId="0" xfId="0" applyNumberFormat="1" applyFont="1" applyAlignment="1">
      <alignment horizontal="left"/>
    </xf>
    <xf numFmtId="38" fontId="25" fillId="0" borderId="12" xfId="0" applyNumberFormat="1" applyFont="1" applyBorder="1" applyAlignment="1">
      <alignment horizontal="right" wrapText="1"/>
    </xf>
    <xf numFmtId="0" fontId="19" fillId="25" borderId="15" xfId="0" applyFont="1" applyFill="1" applyBorder="1" applyAlignment="1">
      <alignment vertical="center" wrapText="1"/>
    </xf>
    <xf numFmtId="0" fontId="19" fillId="25" borderId="19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vertical="center" wrapText="1"/>
    </xf>
    <xf numFmtId="0" fontId="19" fillId="25" borderId="16" xfId="0" applyFont="1" applyFill="1" applyBorder="1" applyAlignment="1">
      <alignment horizontal="right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8" fontId="1" fillId="0" borderId="18" xfId="0" applyNumberFormat="1" applyFont="1" applyBorder="1" applyAlignment="1">
      <alignment horizontal="right" vertical="center" wrapText="1"/>
    </xf>
    <xf numFmtId="8" fontId="19" fillId="25" borderId="18" xfId="0" applyNumberFormat="1" applyFont="1" applyFill="1" applyBorder="1" applyAlignment="1">
      <alignment horizontal="right" vertical="center" wrapText="1"/>
    </xf>
    <xf numFmtId="1" fontId="22" fillId="26" borderId="0" xfId="0" applyNumberFormat="1" applyFont="1" applyFill="1" applyAlignment="1">
      <alignment horizontal="center"/>
    </xf>
    <xf numFmtId="38" fontId="1" fillId="0" borderId="22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10" fontId="1" fillId="0" borderId="25" xfId="39" applyNumberFormat="1" applyFont="1" applyFill="1" applyBorder="1"/>
    <xf numFmtId="10" fontId="20" fillId="24" borderId="26" xfId="39" applyNumberFormat="1" applyFont="1" applyFill="1" applyBorder="1"/>
    <xf numFmtId="38" fontId="1" fillId="0" borderId="0" xfId="0" applyNumberFormat="1" applyFont="1" applyAlignment="1">
      <alignment horizontal="right"/>
    </xf>
    <xf numFmtId="10" fontId="1" fillId="0" borderId="29" xfId="39" applyNumberFormat="1" applyFont="1" applyFill="1" applyBorder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center"/>
    </xf>
    <xf numFmtId="49" fontId="23" fillId="0" borderId="10" xfId="0" applyNumberFormat="1" applyFont="1" applyBorder="1"/>
    <xf numFmtId="49" fontId="1" fillId="0" borderId="0" xfId="0" applyNumberFormat="1" applyFont="1"/>
    <xf numFmtId="49" fontId="0" fillId="0" borderId="0" xfId="0" applyNumberFormat="1"/>
    <xf numFmtId="49" fontId="19" fillId="0" borderId="13" xfId="0" applyNumberFormat="1" applyFont="1" applyBorder="1"/>
    <xf numFmtId="0" fontId="0" fillId="0" borderId="0" xfId="0" applyAlignment="1">
      <alignment wrapText="1"/>
    </xf>
    <xf numFmtId="10" fontId="20" fillId="24" borderId="26" xfId="91" applyNumberFormat="1" applyFont="1" applyFill="1" applyBorder="1"/>
    <xf numFmtId="49" fontId="1" fillId="0" borderId="0" xfId="39" applyNumberFormat="1" applyFont="1"/>
    <xf numFmtId="164" fontId="1" fillId="28" borderId="0" xfId="0" applyNumberFormat="1" applyFont="1" applyFill="1"/>
    <xf numFmtId="164" fontId="1" fillId="28" borderId="11" xfId="0" applyNumberFormat="1" applyFont="1" applyFill="1" applyBorder="1"/>
    <xf numFmtId="38" fontId="1" fillId="0" borderId="23" xfId="0" applyNumberFormat="1" applyFont="1" applyBorder="1" applyAlignment="1">
      <alignment horizontal="center" vertical="center" wrapText="1"/>
    </xf>
    <xf numFmtId="38" fontId="1" fillId="0" borderId="24" xfId="0" applyNumberFormat="1" applyFont="1" applyBorder="1" applyAlignment="1">
      <alignment horizontal="center" vertical="center" wrapText="1"/>
    </xf>
    <xf numFmtId="38" fontId="21" fillId="0" borderId="0" xfId="0" applyNumberFormat="1" applyFont="1" applyAlignment="1">
      <alignment horizontal="left"/>
    </xf>
    <xf numFmtId="38" fontId="23" fillId="0" borderId="27" xfId="0" applyNumberFormat="1" applyFont="1" applyBorder="1" applyAlignment="1">
      <alignment horizontal="right"/>
    </xf>
    <xf numFmtId="38" fontId="23" fillId="0" borderId="14" xfId="0" applyNumberFormat="1" applyFont="1" applyBorder="1" applyAlignment="1">
      <alignment horizontal="right"/>
    </xf>
    <xf numFmtId="38" fontId="23" fillId="0" borderId="28" xfId="0" applyNumberFormat="1" applyFont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" fontId="42" fillId="27" borderId="20" xfId="0" applyNumberFormat="1" applyFont="1" applyFill="1" applyBorder="1" applyAlignment="1">
      <alignment horizontal="center" wrapText="1"/>
    </xf>
    <xf numFmtId="4" fontId="42" fillId="27" borderId="13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164" fontId="1" fillId="0" borderId="11" xfId="0" applyNumberFormat="1" applyFont="1" applyFill="1" applyBorder="1"/>
  </cellXfs>
  <cellStyles count="97">
    <cellStyle name="£Z_x0004_Ç_x0006_^_x0004_" xfId="45" xr:uid="{00000000-0005-0000-0000-000000000000}"/>
    <cellStyle name="£Z_x0004_Ç_x0006_^_x0004_ 2" xfId="46" xr:uid="{00000000-0005-0000-0000-000001000000}"/>
    <cellStyle name="20% - Accent1" xfId="1" builtinId="30" customBuiltin="1"/>
    <cellStyle name="20% - Accent1 2" xfId="47" xr:uid="{00000000-0005-0000-0000-000003000000}"/>
    <cellStyle name="20% - Accent2" xfId="2" builtinId="34" customBuiltin="1"/>
    <cellStyle name="20% - Accent2 2" xfId="48" xr:uid="{00000000-0005-0000-0000-000005000000}"/>
    <cellStyle name="20% - Accent3" xfId="3" builtinId="38" customBuiltin="1"/>
    <cellStyle name="20% - Accent3 2" xfId="49" xr:uid="{00000000-0005-0000-0000-000007000000}"/>
    <cellStyle name="20% - Accent4" xfId="4" builtinId="42" customBuiltin="1"/>
    <cellStyle name="20% - Accent4 2" xfId="50" xr:uid="{00000000-0005-0000-0000-000009000000}"/>
    <cellStyle name="20% - Accent5" xfId="5" builtinId="46" customBuiltin="1"/>
    <cellStyle name="20% - Accent5 2" xfId="51" xr:uid="{00000000-0005-0000-0000-00000B000000}"/>
    <cellStyle name="20% - Accent6" xfId="6" builtinId="50" customBuiltin="1"/>
    <cellStyle name="20% - Accent6 2" xfId="52" xr:uid="{00000000-0005-0000-0000-00000D000000}"/>
    <cellStyle name="40% - Accent1" xfId="7" builtinId="31" customBuiltin="1"/>
    <cellStyle name="40% - Accent1 2" xfId="53" xr:uid="{00000000-0005-0000-0000-00000F000000}"/>
    <cellStyle name="40% - Accent2" xfId="8" builtinId="35" customBuiltin="1"/>
    <cellStyle name="40% - Accent2 2" xfId="54" xr:uid="{00000000-0005-0000-0000-000011000000}"/>
    <cellStyle name="40% - Accent3" xfId="9" builtinId="39" customBuiltin="1"/>
    <cellStyle name="40% - Accent3 2" xfId="55" xr:uid="{00000000-0005-0000-0000-000013000000}"/>
    <cellStyle name="40% - Accent4" xfId="10" builtinId="43" customBuiltin="1"/>
    <cellStyle name="40% - Accent4 2" xfId="56" xr:uid="{00000000-0005-0000-0000-000015000000}"/>
    <cellStyle name="40% - Accent5" xfId="11" builtinId="47" customBuiltin="1"/>
    <cellStyle name="40% - Accent5 2" xfId="57" xr:uid="{00000000-0005-0000-0000-000017000000}"/>
    <cellStyle name="40% - Accent6" xfId="12" builtinId="51" customBuiltin="1"/>
    <cellStyle name="40% - Accent6 2" xfId="58" xr:uid="{00000000-0005-0000-0000-000019000000}"/>
    <cellStyle name="60% - Accent1" xfId="13" builtinId="32" customBuiltin="1"/>
    <cellStyle name="60% - Accent1 2" xfId="59" xr:uid="{00000000-0005-0000-0000-00001B000000}"/>
    <cellStyle name="60% - Accent2" xfId="14" builtinId="36" customBuiltin="1"/>
    <cellStyle name="60% - Accent2 2" xfId="60" xr:uid="{00000000-0005-0000-0000-00001D000000}"/>
    <cellStyle name="60% - Accent3" xfId="15" builtinId="40" customBuiltin="1"/>
    <cellStyle name="60% - Accent3 2" xfId="61" xr:uid="{00000000-0005-0000-0000-00001F000000}"/>
    <cellStyle name="60% - Accent4" xfId="16" builtinId="44" customBuiltin="1"/>
    <cellStyle name="60% - Accent4 2" xfId="62" xr:uid="{00000000-0005-0000-0000-000021000000}"/>
    <cellStyle name="60% - Accent5" xfId="17" builtinId="48" customBuiltin="1"/>
    <cellStyle name="60% - Accent5 2" xfId="63" xr:uid="{00000000-0005-0000-0000-000023000000}"/>
    <cellStyle name="60% - Accent6" xfId="18" builtinId="52" customBuiltin="1"/>
    <cellStyle name="60% - Accent6 2" xfId="64" xr:uid="{00000000-0005-0000-0000-000025000000}"/>
    <cellStyle name="Accent1" xfId="19" builtinId="29" customBuiltin="1"/>
    <cellStyle name="Accent1 2" xfId="65" xr:uid="{00000000-0005-0000-0000-000027000000}"/>
    <cellStyle name="Accent2" xfId="20" builtinId="33" customBuiltin="1"/>
    <cellStyle name="Accent2 2" xfId="66" xr:uid="{00000000-0005-0000-0000-000029000000}"/>
    <cellStyle name="Accent3" xfId="21" builtinId="37" customBuiltin="1"/>
    <cellStyle name="Accent3 2" xfId="67" xr:uid="{00000000-0005-0000-0000-00002B000000}"/>
    <cellStyle name="Accent4" xfId="22" builtinId="41" customBuiltin="1"/>
    <cellStyle name="Accent4 2" xfId="68" xr:uid="{00000000-0005-0000-0000-00002D000000}"/>
    <cellStyle name="Accent5" xfId="23" builtinId="45" customBuiltin="1"/>
    <cellStyle name="Accent5 2" xfId="69" xr:uid="{00000000-0005-0000-0000-00002F000000}"/>
    <cellStyle name="Accent6" xfId="24" builtinId="49" customBuiltin="1"/>
    <cellStyle name="Accent6 2" xfId="70" xr:uid="{00000000-0005-0000-0000-000031000000}"/>
    <cellStyle name="Bad" xfId="25" builtinId="27" customBuiltin="1"/>
    <cellStyle name="Bad 2" xfId="71" xr:uid="{00000000-0005-0000-0000-000033000000}"/>
    <cellStyle name="Calculation" xfId="26" builtinId="22" customBuiltin="1"/>
    <cellStyle name="Calculation 2" xfId="72" xr:uid="{00000000-0005-0000-0000-000035000000}"/>
    <cellStyle name="Check Cell" xfId="27" builtinId="23" customBuiltin="1"/>
    <cellStyle name="Check Cell 2" xfId="73" xr:uid="{00000000-0005-0000-0000-000037000000}"/>
    <cellStyle name="Comma 2" xfId="74" xr:uid="{00000000-0005-0000-0000-000038000000}"/>
    <cellStyle name="Comma 2 2" xfId="75" xr:uid="{00000000-0005-0000-0000-000039000000}"/>
    <cellStyle name="Comma 3" xfId="76" xr:uid="{00000000-0005-0000-0000-00003A000000}"/>
    <cellStyle name="Currency 2" xfId="77" xr:uid="{00000000-0005-0000-0000-00003B000000}"/>
    <cellStyle name="Explanatory Text" xfId="28" builtinId="53" customBuiltin="1"/>
    <cellStyle name="Explanatory Text 2" xfId="78" xr:uid="{00000000-0005-0000-0000-00003D000000}"/>
    <cellStyle name="Good" xfId="29" builtinId="26" customBuiltin="1"/>
    <cellStyle name="Good 2" xfId="79" xr:uid="{00000000-0005-0000-0000-00003F000000}"/>
    <cellStyle name="Heading 1" xfId="30" builtinId="16" customBuiltin="1"/>
    <cellStyle name="Heading 1 2" xfId="80" xr:uid="{00000000-0005-0000-0000-000041000000}"/>
    <cellStyle name="Heading 2" xfId="31" builtinId="17" customBuiltin="1"/>
    <cellStyle name="Heading 2 2" xfId="81" xr:uid="{00000000-0005-0000-0000-000043000000}"/>
    <cellStyle name="Heading 3" xfId="32" builtinId="18" customBuiltin="1"/>
    <cellStyle name="Heading 3 2" xfId="82" xr:uid="{00000000-0005-0000-0000-000045000000}"/>
    <cellStyle name="Heading 4" xfId="33" builtinId="19" customBuiltin="1"/>
    <cellStyle name="Heading 4 2" xfId="83" xr:uid="{00000000-0005-0000-0000-000047000000}"/>
    <cellStyle name="Input" xfId="34" builtinId="20" customBuiltin="1"/>
    <cellStyle name="Input 2" xfId="84" xr:uid="{00000000-0005-0000-0000-000049000000}"/>
    <cellStyle name="Linked Cell" xfId="35" builtinId="24" customBuiltin="1"/>
    <cellStyle name="Linked Cell 2" xfId="85" xr:uid="{00000000-0005-0000-0000-00004B000000}"/>
    <cellStyle name="Neutral" xfId="36" builtinId="28" customBuiltin="1"/>
    <cellStyle name="Neutral 2" xfId="86" xr:uid="{00000000-0005-0000-0000-00004D000000}"/>
    <cellStyle name="Normal" xfId="0" builtinId="0"/>
    <cellStyle name="Normal 2" xfId="43" xr:uid="{00000000-0005-0000-0000-00004F000000}"/>
    <cellStyle name="Normal 2 2" xfId="87" xr:uid="{00000000-0005-0000-0000-000050000000}"/>
    <cellStyle name="Normal 3" xfId="88" xr:uid="{00000000-0005-0000-0000-000051000000}"/>
    <cellStyle name="Normal 4" xfId="44" xr:uid="{00000000-0005-0000-0000-000052000000}"/>
    <cellStyle name="Note" xfId="37" builtinId="10" customBuiltin="1"/>
    <cellStyle name="Note 2" xfId="89" xr:uid="{00000000-0005-0000-0000-000054000000}"/>
    <cellStyle name="Output" xfId="38" builtinId="21" customBuiltin="1"/>
    <cellStyle name="Output 2" xfId="90" xr:uid="{00000000-0005-0000-0000-000056000000}"/>
    <cellStyle name="Percent" xfId="39" builtinId="5"/>
    <cellStyle name="Percent 2" xfId="91" xr:uid="{00000000-0005-0000-0000-000058000000}"/>
    <cellStyle name="Percent 2 2" xfId="92" xr:uid="{00000000-0005-0000-0000-000059000000}"/>
    <cellStyle name="Percent 3" xfId="93" xr:uid="{00000000-0005-0000-0000-00005A000000}"/>
    <cellStyle name="Title" xfId="40" builtinId="15" customBuiltin="1"/>
    <cellStyle name="Title 2" xfId="94" xr:uid="{00000000-0005-0000-0000-00005C000000}"/>
    <cellStyle name="Total" xfId="41" builtinId="25" customBuiltin="1"/>
    <cellStyle name="Total 2" xfId="95" xr:uid="{00000000-0005-0000-0000-00005E000000}"/>
    <cellStyle name="Warning Text" xfId="42" builtinId="11" customBuiltin="1"/>
    <cellStyle name="Warning Text 2" xfId="96" xr:uid="{00000000-0005-0000-0000-000060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DSH/Payments(SvcDate)/FFY12/DSHYESummaryFY12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Assessment/Payments/FY2013/Q1/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imbUnit/Hospitals/UPL/UPL%20-%20Outpatient/FY2012/Utah%20FY12%20OP%20UPL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weep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>
        <row r="9">
          <cell r="A9" t="str">
            <v>BEAVER VALLEY HOSPITAL</v>
          </cell>
          <cell r="B9" t="str">
            <v>870271937004</v>
          </cell>
          <cell r="C9" t="str">
            <v>01</v>
          </cell>
          <cell r="D9">
            <v>876800</v>
          </cell>
          <cell r="E9">
            <v>1095224</v>
          </cell>
          <cell r="F9">
            <v>7339.9</v>
          </cell>
          <cell r="G9">
            <v>876800</v>
          </cell>
          <cell r="H9">
            <v>0</v>
          </cell>
          <cell r="I9">
            <v>884139.9</v>
          </cell>
          <cell r="J9">
            <v>0</v>
          </cell>
          <cell r="K9">
            <v>211084.09999999998</v>
          </cell>
          <cell r="L9">
            <v>0.11420878292090927</v>
          </cell>
          <cell r="M9">
            <v>159143.42909966057</v>
          </cell>
        </row>
        <row r="10">
          <cell r="B10" t="str">
            <v>876000309018</v>
          </cell>
          <cell r="C10" t="str">
            <v>09</v>
          </cell>
          <cell r="D10">
            <v>876800</v>
          </cell>
          <cell r="E10">
            <v>654291</v>
          </cell>
          <cell r="F10">
            <v>2505.7199999999998</v>
          </cell>
          <cell r="G10">
            <v>654291</v>
          </cell>
          <cell r="H10">
            <v>0</v>
          </cell>
          <cell r="I10">
            <v>656796.72</v>
          </cell>
          <cell r="J10">
            <v>222509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876800</v>
          </cell>
          <cell r="E11">
            <v>377847</v>
          </cell>
          <cell r="F11">
            <v>4851.8900000000003</v>
          </cell>
          <cell r="G11">
            <v>377847</v>
          </cell>
          <cell r="H11">
            <v>0</v>
          </cell>
          <cell r="I11">
            <v>382698.89</v>
          </cell>
          <cell r="J11">
            <v>498953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876800</v>
          </cell>
          <cell r="E12">
            <v>604389</v>
          </cell>
          <cell r="F12">
            <v>1587.5</v>
          </cell>
          <cell r="G12">
            <v>604388</v>
          </cell>
          <cell r="H12">
            <v>0</v>
          </cell>
          <cell r="I12">
            <v>605975.5</v>
          </cell>
          <cell r="J12">
            <v>272412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876800</v>
          </cell>
          <cell r="E13">
            <v>477231</v>
          </cell>
          <cell r="F13">
            <v>6.75</v>
          </cell>
          <cell r="G13">
            <v>477231</v>
          </cell>
          <cell r="H13">
            <v>0</v>
          </cell>
          <cell r="I13">
            <v>477237.75</v>
          </cell>
          <cell r="J13">
            <v>399569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876800</v>
          </cell>
          <cell r="E14">
            <v>2285965</v>
          </cell>
          <cell r="F14">
            <v>5458.85</v>
          </cell>
          <cell r="G14">
            <v>876800</v>
          </cell>
          <cell r="H14">
            <v>0</v>
          </cell>
          <cell r="I14">
            <v>882258.85</v>
          </cell>
          <cell r="J14">
            <v>0</v>
          </cell>
          <cell r="K14">
            <v>1403706.15</v>
          </cell>
          <cell r="L14">
            <v>0.75948672102775772</v>
          </cell>
          <cell r="M14">
            <v>1058301.4550090819</v>
          </cell>
        </row>
        <row r="15">
          <cell r="B15" t="str">
            <v>876000616019</v>
          </cell>
          <cell r="C15" t="str">
            <v>19</v>
          </cell>
          <cell r="D15">
            <v>1017000</v>
          </cell>
          <cell r="E15">
            <v>1252436</v>
          </cell>
          <cell r="F15">
            <v>1996.24</v>
          </cell>
          <cell r="G15">
            <v>1017000</v>
          </cell>
          <cell r="H15">
            <v>0</v>
          </cell>
          <cell r="I15">
            <v>1018996.24</v>
          </cell>
          <cell r="J15">
            <v>0</v>
          </cell>
          <cell r="K15">
            <v>233439.76</v>
          </cell>
          <cell r="L15">
            <v>0.12630449605133293</v>
          </cell>
          <cell r="M15">
            <v>175998.1158912575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D13">
            <v>0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D14">
            <v>0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D20">
            <v>0</v>
          </cell>
          <cell r="E20">
            <v>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D21">
            <v>0</v>
          </cell>
          <cell r="E21">
            <v>0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D22">
            <v>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D23">
            <v>0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/>
          <cell r="D24">
            <v>0</v>
          </cell>
          <cell r="E24">
            <v>0</v>
          </cell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D25">
            <v>0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D26">
            <v>0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D27">
            <v>0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/>
          <cell r="D29">
            <v>0</v>
          </cell>
          <cell r="E29">
            <v>0</v>
          </cell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D30">
            <v>0</v>
          </cell>
          <cell r="E30">
            <v>0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D32">
            <v>0</v>
          </cell>
          <cell r="E32">
            <v>0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D34">
            <v>0</v>
          </cell>
          <cell r="E34">
            <v>0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D36">
            <v>0</v>
          </cell>
          <cell r="E36">
            <v>0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D37">
            <v>0</v>
          </cell>
          <cell r="E37">
            <v>0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D38">
            <v>0</v>
          </cell>
          <cell r="E38">
            <v>0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D39">
            <v>0</v>
          </cell>
          <cell r="E39">
            <v>0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D40">
            <v>0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/>
          <cell r="D41">
            <v>0</v>
          </cell>
          <cell r="E41">
            <v>0</v>
          </cell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D42">
            <v>0</v>
          </cell>
          <cell r="E42">
            <v>0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D43">
            <v>0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D44">
            <v>0</v>
          </cell>
          <cell r="E44">
            <v>0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D45">
            <v>0</v>
          </cell>
          <cell r="E45">
            <v>0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D46">
            <v>0</v>
          </cell>
          <cell r="E46">
            <v>0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D47">
            <v>0</v>
          </cell>
          <cell r="E47">
            <v>0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D48">
            <v>0</v>
          </cell>
          <cell r="E48">
            <v>0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D50">
            <v>0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/>
          <cell r="D51">
            <v>0</v>
          </cell>
          <cell r="E51">
            <v>0</v>
          </cell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D52">
            <v>0</v>
          </cell>
          <cell r="E52">
            <v>0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D53">
            <v>0</v>
          </cell>
          <cell r="E53">
            <v>0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D54">
            <v>0</v>
          </cell>
          <cell r="E54">
            <v>0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D55">
            <v>0</v>
          </cell>
          <cell r="E55">
            <v>0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D56">
            <v>0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D57">
            <v>0</v>
          </cell>
          <cell r="E57">
            <v>0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D58">
            <v>0</v>
          </cell>
          <cell r="E58">
            <v>0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D59">
            <v>0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D60">
            <v>0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B62">
            <v>0</v>
          </cell>
          <cell r="C62" t="str">
            <v>362193608001</v>
          </cell>
          <cell r="D62">
            <v>0</v>
          </cell>
          <cell r="E62">
            <v>0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B63">
            <v>0</v>
          </cell>
          <cell r="C63" t="str">
            <v>942854057911</v>
          </cell>
          <cell r="D63">
            <v>0</v>
          </cell>
          <cell r="E63">
            <v>0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B64">
            <v>0</v>
          </cell>
          <cell r="C64" t="str">
            <v>942854057207</v>
          </cell>
          <cell r="D64">
            <v>0</v>
          </cell>
          <cell r="E64">
            <v>0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/>
          <cell r="D65">
            <v>0</v>
          </cell>
          <cell r="E65">
            <v>0</v>
          </cell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D66">
            <v>0</v>
          </cell>
          <cell r="E66">
            <v>0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/>
          <cell r="D67">
            <v>0</v>
          </cell>
          <cell r="E67">
            <v>0</v>
          </cell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0</v>
          </cell>
          <cell r="D68">
            <v>0</v>
          </cell>
          <cell r="E68">
            <v>0</v>
          </cell>
          <cell r="F68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topLeftCell="B1" zoomScaleNormal="100" workbookViewId="0">
      <selection activeCell="I28" sqref="I28"/>
    </sheetView>
  </sheetViews>
  <sheetFormatPr defaultColWidth="9.140625" defaultRowHeight="12.75" x14ac:dyDescent="0.2"/>
  <cols>
    <col min="1" max="1" width="3.7109375" style="1" customWidth="1"/>
    <col min="2" max="2" width="14.85546875" style="43" bestFit="1" customWidth="1"/>
    <col min="3" max="3" width="33.28515625" style="1" bestFit="1" customWidth="1"/>
    <col min="4" max="8" width="12.7109375" style="1" bestFit="1" customWidth="1"/>
    <col min="9" max="9" width="13.42578125" style="1" bestFit="1" customWidth="1"/>
    <col min="10" max="10" width="12.7109375" style="1" bestFit="1" customWidth="1"/>
    <col min="11" max="11" width="9.7109375" style="1" bestFit="1" customWidth="1"/>
    <col min="12" max="12" width="13.42578125" style="43" bestFit="1" customWidth="1"/>
    <col min="13" max="16384" width="9.140625" style="1"/>
  </cols>
  <sheetData>
    <row r="1" spans="1:12" ht="23.25" x14ac:dyDescent="0.3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16.5" customHeight="1" x14ac:dyDescent="0.25">
      <c r="A2" s="24" t="s">
        <v>15</v>
      </c>
      <c r="B2" s="40"/>
      <c r="C2" s="2"/>
      <c r="D2" s="33">
        <v>2023</v>
      </c>
      <c r="E2" s="2"/>
      <c r="F2" s="2"/>
      <c r="G2" s="2"/>
      <c r="H2" s="2"/>
      <c r="I2" s="2"/>
      <c r="J2" s="2"/>
    </row>
    <row r="3" spans="1:12" ht="16.5" customHeight="1" x14ac:dyDescent="0.25">
      <c r="A3" s="2"/>
      <c r="B3" s="41"/>
      <c r="C3" s="2"/>
      <c r="D3" s="2"/>
      <c r="E3" s="2"/>
      <c r="F3" s="2"/>
      <c r="G3" s="2"/>
      <c r="H3" s="2"/>
      <c r="I3" s="2"/>
      <c r="J3" s="2"/>
    </row>
    <row r="4" spans="1:12" ht="16.5" customHeight="1" x14ac:dyDescent="0.25">
      <c r="A4" s="2"/>
      <c r="B4" s="41"/>
      <c r="C4" s="2"/>
      <c r="D4" s="2"/>
      <c r="E4" s="2"/>
      <c r="F4" s="2"/>
      <c r="G4" s="2"/>
      <c r="H4" s="54" t="str">
        <f>"Federal Fiscal Year " &amp; $D$2-1</f>
        <v>Federal Fiscal Year 2022</v>
      </c>
      <c r="I4" s="55"/>
      <c r="J4" s="56"/>
    </row>
    <row r="5" spans="1:12" ht="15.75" x14ac:dyDescent="0.25">
      <c r="A5" s="3" t="s">
        <v>39</v>
      </c>
      <c r="B5" s="42"/>
      <c r="C5" s="4"/>
      <c r="D5" s="5" t="s">
        <v>2</v>
      </c>
      <c r="E5" s="5" t="s">
        <v>3</v>
      </c>
      <c r="F5" s="5" t="s">
        <v>1</v>
      </c>
      <c r="G5" s="6"/>
      <c r="H5" s="51" t="str">
        <f>"SFY " &amp; $D$2 &amp; " Q1"</f>
        <v>SFY 2023 Q1</v>
      </c>
      <c r="I5" s="38" t="s">
        <v>4</v>
      </c>
      <c r="J5" s="39">
        <f>1-J6</f>
        <v>0.26970000000000005</v>
      </c>
    </row>
    <row r="6" spans="1:12" x14ac:dyDescent="0.2">
      <c r="C6" s="1" t="s">
        <v>38</v>
      </c>
      <c r="D6" s="16">
        <f>+D12*0.25</f>
        <v>459000</v>
      </c>
      <c r="E6" s="16">
        <f>ROUNDDOWN(D6/$J$5*$J$6,0)</f>
        <v>1242890</v>
      </c>
      <c r="F6" s="16">
        <f>SUM(D6:E6)</f>
        <v>1701890</v>
      </c>
      <c r="H6" s="52"/>
      <c r="I6" s="35" t="s">
        <v>37</v>
      </c>
      <c r="J6" s="37">
        <v>0.73029999999999995</v>
      </c>
    </row>
    <row r="7" spans="1:12" ht="14.25" customHeight="1" x14ac:dyDescent="0.25">
      <c r="A7"/>
      <c r="B7" s="44"/>
      <c r="C7" s="1" t="s">
        <v>36</v>
      </c>
      <c r="D7" s="16">
        <f>+$D$12*0.25</f>
        <v>459000</v>
      </c>
      <c r="E7" s="16">
        <f>ROUNDDOWN(D7/$J$9*$J$10,0)</f>
        <v>1186161</v>
      </c>
      <c r="F7" s="16">
        <f>SUM(D7:E7)</f>
        <v>1645161</v>
      </c>
      <c r="G7" s="2"/>
    </row>
    <row r="8" spans="1:12" ht="15" customHeight="1" x14ac:dyDescent="0.25">
      <c r="A8"/>
      <c r="B8" s="44"/>
      <c r="C8" s="1" t="s">
        <v>35</v>
      </c>
      <c r="D8" s="16">
        <f>+$D$12*0.25</f>
        <v>459000</v>
      </c>
      <c r="E8" s="16">
        <f>ROUNDDOWN(D8/$J$11*$J$12,0)</f>
        <v>1186161</v>
      </c>
      <c r="F8" s="16">
        <f t="shared" ref="F8:F9" si="0">SUM(D8:E8)</f>
        <v>1645161</v>
      </c>
      <c r="G8" s="6"/>
      <c r="H8" s="54" t="str">
        <f>"Federal Fiscal Year " &amp; $D$2</f>
        <v>Federal Fiscal Year 2023</v>
      </c>
      <c r="I8" s="55"/>
      <c r="J8" s="56"/>
    </row>
    <row r="9" spans="1:12" ht="14.25" customHeight="1" x14ac:dyDescent="0.2">
      <c r="C9" s="1" t="s">
        <v>34</v>
      </c>
      <c r="D9" s="16">
        <f>+$D$12*0.25</f>
        <v>459000</v>
      </c>
      <c r="E9" s="16">
        <f>ROUNDDOWN(D9/$J$13*$J$14,0)</f>
        <v>1118319</v>
      </c>
      <c r="F9" s="16">
        <f t="shared" si="0"/>
        <v>1577319</v>
      </c>
      <c r="H9" s="51" t="str">
        <f>"SFY " &amp; $D$2 &amp; " Q2"</f>
        <v>SFY 2023 Q2</v>
      </c>
      <c r="I9" s="34" t="s">
        <v>4</v>
      </c>
      <c r="J9" s="36">
        <f>1-J10</f>
        <v>0.27900000000000003</v>
      </c>
      <c r="L9" s="48"/>
    </row>
    <row r="10" spans="1:12" ht="14.25" customHeight="1" x14ac:dyDescent="0.2">
      <c r="H10" s="52"/>
      <c r="I10" s="35" t="s">
        <v>37</v>
      </c>
      <c r="J10" s="47">
        <v>0.72099999999999997</v>
      </c>
      <c r="L10" s="48"/>
    </row>
    <row r="11" spans="1:12" ht="14.25" customHeight="1" x14ac:dyDescent="0.25">
      <c r="A11" s="3" t="s">
        <v>7</v>
      </c>
      <c r="B11" s="42"/>
      <c r="C11" s="4"/>
      <c r="D11" s="22" t="s">
        <v>2</v>
      </c>
      <c r="E11" s="22" t="s">
        <v>3</v>
      </c>
      <c r="F11" s="22" t="s">
        <v>1</v>
      </c>
      <c r="G11" s="2"/>
      <c r="H11" s="51" t="str">
        <f>"SFY " &amp; $D$2 &amp; " Q3"</f>
        <v>SFY 2023 Q3</v>
      </c>
      <c r="I11" s="34" t="s">
        <v>4</v>
      </c>
      <c r="J11" s="36">
        <f>1-J12</f>
        <v>0.27900000000000003</v>
      </c>
      <c r="L11" s="48"/>
    </row>
    <row r="12" spans="1:12" ht="13.5" customHeight="1" x14ac:dyDescent="0.2">
      <c r="C12" s="1" t="s">
        <v>5</v>
      </c>
      <c r="D12" s="23">
        <f>1836000</f>
        <v>1836000</v>
      </c>
      <c r="E12" s="16">
        <f>+E6+E7+E8+E9</f>
        <v>4733531</v>
      </c>
      <c r="F12" s="16">
        <f>ROUNDDOWN(D12+E12,0)</f>
        <v>6569531</v>
      </c>
      <c r="G12" s="6"/>
      <c r="H12" s="52"/>
      <c r="I12" s="35" t="s">
        <v>37</v>
      </c>
      <c r="J12" s="47">
        <v>0.72099999999999997</v>
      </c>
      <c r="L12" s="48"/>
    </row>
    <row r="13" spans="1:12" ht="12.4" customHeight="1" x14ac:dyDescent="0.2">
      <c r="H13" s="51" t="str">
        <f>"SFY " &amp; $D$2 &amp; " Q4"</f>
        <v>SFY 2023 Q4</v>
      </c>
      <c r="I13" s="34" t="s">
        <v>4</v>
      </c>
      <c r="J13" s="36">
        <f>1-J14</f>
        <v>0.29100000000000004</v>
      </c>
    </row>
    <row r="14" spans="1:12" x14ac:dyDescent="0.2">
      <c r="H14" s="52"/>
      <c r="I14" s="35" t="s">
        <v>37</v>
      </c>
      <c r="J14" s="47">
        <v>0.70899999999999996</v>
      </c>
    </row>
    <row r="15" spans="1:12" ht="12.4" customHeight="1" x14ac:dyDescent="0.2"/>
    <row r="17" spans="1:12" x14ac:dyDescent="0.2">
      <c r="F17" s="14" t="s">
        <v>6</v>
      </c>
      <c r="G17" s="14" t="s">
        <v>8</v>
      </c>
      <c r="H17" s="14" t="s">
        <v>9</v>
      </c>
      <c r="I17" s="14" t="s">
        <v>10</v>
      </c>
      <c r="J17" s="21" t="s">
        <v>1</v>
      </c>
    </row>
    <row r="18" spans="1:12" ht="29.25" customHeight="1" thickBot="1" x14ac:dyDescent="0.25">
      <c r="A18" s="12" t="s">
        <v>26</v>
      </c>
      <c r="B18" s="45"/>
      <c r="C18" s="12" t="s">
        <v>13</v>
      </c>
      <c r="D18" s="12" t="s">
        <v>0</v>
      </c>
      <c r="E18" s="13" t="s">
        <v>11</v>
      </c>
      <c r="F18" s="25" t="str">
        <f>"(FFY "&amp;$D$2-1&amp;" 
Match Rate)"</f>
        <v>(FFY 2022 
Match Rate)</v>
      </c>
      <c r="G18" s="25" t="str">
        <f>"(FFY "&amp;$D$2&amp;" 
Match Rate)"</f>
        <v>(FFY 2023 
Match Rate)</v>
      </c>
      <c r="H18" s="25" t="str">
        <f>"(FFY "&amp;$D$2&amp;" 
Match Rate)"</f>
        <v>(FFY 2023 
Match Rate)</v>
      </c>
      <c r="I18" s="25" t="str">
        <f>"(FFY "&amp;$D$2&amp;" 
Match Rate)"</f>
        <v>(FFY 2023 
Match Rate)</v>
      </c>
      <c r="J18" s="15" t="str">
        <f>J17</f>
        <v>Total</v>
      </c>
      <c r="L18" s="43" t="s">
        <v>54</v>
      </c>
    </row>
    <row r="19" spans="1:12" x14ac:dyDescent="0.2">
      <c r="A19" s="1" t="s">
        <v>27</v>
      </c>
      <c r="B19" s="43" t="s">
        <v>40</v>
      </c>
      <c r="C19" s="7" t="s">
        <v>16</v>
      </c>
      <c r="D19" s="8">
        <v>0.74450000000000005</v>
      </c>
      <c r="E19" s="16">
        <f t="shared" ref="E19:E27" si="1">ROUND(D19*$F$12,2)</f>
        <v>4891015.83</v>
      </c>
      <c r="F19" s="16">
        <f>ROUND(D19*$F$6, 2)</f>
        <v>1267057.1100000001</v>
      </c>
      <c r="G19" s="16">
        <f t="shared" ref="G19:G27" si="2">ROUND(($F$7)*D19, 2)</f>
        <v>1224822.3600000001</v>
      </c>
      <c r="H19" s="62">
        <f>ROUND(($F$8)*D19, 2)</f>
        <v>1224822.3600000001</v>
      </c>
      <c r="I19" s="49">
        <f t="shared" ref="I19:I27" si="3">ROUND(($F$9)*D19, 2)</f>
        <v>1174314</v>
      </c>
      <c r="J19" s="17">
        <f>SUM(F19:I19)</f>
        <v>4891015.83</v>
      </c>
      <c r="L19" s="43" t="s">
        <v>53</v>
      </c>
    </row>
    <row r="20" spans="1:12" x14ac:dyDescent="0.2">
      <c r="A20" s="1" t="s">
        <v>27</v>
      </c>
      <c r="B20" s="43" t="s">
        <v>41</v>
      </c>
      <c r="C20" s="7" t="s">
        <v>17</v>
      </c>
      <c r="D20" s="8">
        <v>0.1128</v>
      </c>
      <c r="E20" s="16">
        <f t="shared" si="1"/>
        <v>741043.1</v>
      </c>
      <c r="F20" s="16">
        <f t="shared" ref="F20:F27" si="4">ROUND(D20*$F$6, 2)</f>
        <v>191973.19</v>
      </c>
      <c r="G20" s="16">
        <f t="shared" si="2"/>
        <v>185574.16</v>
      </c>
      <c r="H20" s="62">
        <f t="shared" ref="H20:H27" si="5">ROUND(($F$8)*D20, 2)</f>
        <v>185574.16</v>
      </c>
      <c r="I20" s="49">
        <f t="shared" si="3"/>
        <v>177921.58</v>
      </c>
      <c r="J20" s="17">
        <f>SUM(F20:I20)</f>
        <v>741043.09</v>
      </c>
      <c r="L20" s="43">
        <v>1235148594</v>
      </c>
    </row>
    <row r="21" spans="1:12" x14ac:dyDescent="0.2">
      <c r="A21" s="1" t="s">
        <v>27</v>
      </c>
      <c r="B21" s="43" t="s">
        <v>42</v>
      </c>
      <c r="C21" s="7" t="s">
        <v>18</v>
      </c>
      <c r="D21" s="8">
        <v>2.0999999999999999E-3</v>
      </c>
      <c r="E21" s="16">
        <f t="shared" si="1"/>
        <v>13796.02</v>
      </c>
      <c r="F21" s="16">
        <f t="shared" si="4"/>
        <v>3573.97</v>
      </c>
      <c r="G21" s="16">
        <f t="shared" si="2"/>
        <v>3454.84</v>
      </c>
      <c r="H21" s="62">
        <f t="shared" si="5"/>
        <v>3454.84</v>
      </c>
      <c r="I21" s="49">
        <f t="shared" si="3"/>
        <v>3312.37</v>
      </c>
      <c r="J21" s="17">
        <f t="shared" ref="J21:J27" si="6">SUM(F21:I21)</f>
        <v>13796.02</v>
      </c>
      <c r="L21" s="43">
        <v>1528078581</v>
      </c>
    </row>
    <row r="22" spans="1:12" x14ac:dyDescent="0.2">
      <c r="A22" s="1" t="s">
        <v>27</v>
      </c>
      <c r="B22" s="43" t="s">
        <v>43</v>
      </c>
      <c r="C22" s="7" t="s">
        <v>19</v>
      </c>
      <c r="D22" s="8">
        <v>8.2299999999999998E-2</v>
      </c>
      <c r="E22" s="16">
        <f t="shared" si="1"/>
        <v>540672.4</v>
      </c>
      <c r="F22" s="16">
        <f t="shared" si="4"/>
        <v>140065.54999999999</v>
      </c>
      <c r="G22" s="16">
        <f t="shared" si="2"/>
        <v>135396.75</v>
      </c>
      <c r="H22" s="62">
        <f t="shared" si="5"/>
        <v>135396.75</v>
      </c>
      <c r="I22" s="49">
        <f t="shared" si="3"/>
        <v>129813.35</v>
      </c>
      <c r="J22" s="17">
        <f t="shared" si="6"/>
        <v>540672.4</v>
      </c>
      <c r="L22" s="43">
        <v>1043220650</v>
      </c>
    </row>
    <row r="23" spans="1:12" x14ac:dyDescent="0.2">
      <c r="A23" s="1" t="s">
        <v>29</v>
      </c>
      <c r="B23" s="43" t="s">
        <v>44</v>
      </c>
      <c r="C23" s="7" t="s">
        <v>20</v>
      </c>
      <c r="D23" s="8">
        <v>2.69E-2</v>
      </c>
      <c r="E23" s="16">
        <f t="shared" si="1"/>
        <v>176720.38</v>
      </c>
      <c r="F23" s="16">
        <f t="shared" si="4"/>
        <v>45780.84</v>
      </c>
      <c r="G23" s="16">
        <f t="shared" si="2"/>
        <v>44254.83</v>
      </c>
      <c r="H23" s="62">
        <f t="shared" si="5"/>
        <v>44254.83</v>
      </c>
      <c r="I23" s="49">
        <f t="shared" si="3"/>
        <v>42429.88</v>
      </c>
      <c r="J23" s="17">
        <f t="shared" si="6"/>
        <v>176720.38</v>
      </c>
      <c r="L23" s="43">
        <v>1114025491</v>
      </c>
    </row>
    <row r="24" spans="1:12" x14ac:dyDescent="0.2">
      <c r="A24" s="1" t="s">
        <v>28</v>
      </c>
      <c r="B24" s="43" t="s">
        <v>45</v>
      </c>
      <c r="C24" s="7" t="s">
        <v>21</v>
      </c>
      <c r="D24" s="8">
        <v>1.9599999999999999E-2</v>
      </c>
      <c r="E24" s="16">
        <f t="shared" si="1"/>
        <v>128762.81</v>
      </c>
      <c r="F24" s="16">
        <f t="shared" si="4"/>
        <v>33357.040000000001</v>
      </c>
      <c r="G24" s="16">
        <f t="shared" si="2"/>
        <v>32245.16</v>
      </c>
      <c r="H24" s="62">
        <f t="shared" si="5"/>
        <v>32245.16</v>
      </c>
      <c r="I24" s="49">
        <f t="shared" si="3"/>
        <v>30915.45</v>
      </c>
      <c r="J24" s="17">
        <f>SUM(F24:I24)</f>
        <v>128762.81</v>
      </c>
      <c r="L24" s="43">
        <v>1194749580</v>
      </c>
    </row>
    <row r="25" spans="1:12" x14ac:dyDescent="0.2">
      <c r="A25" s="1" t="s">
        <v>27</v>
      </c>
      <c r="B25" s="43" t="s">
        <v>46</v>
      </c>
      <c r="C25" s="7" t="s">
        <v>22</v>
      </c>
      <c r="D25" s="8">
        <v>5.5999999999999999E-3</v>
      </c>
      <c r="E25" s="16">
        <f t="shared" si="1"/>
        <v>36789.370000000003</v>
      </c>
      <c r="F25" s="16">
        <f t="shared" si="4"/>
        <v>9530.58</v>
      </c>
      <c r="G25" s="16">
        <f t="shared" si="2"/>
        <v>9212.9</v>
      </c>
      <c r="H25" s="62">
        <f t="shared" si="5"/>
        <v>9212.9</v>
      </c>
      <c r="I25" s="49">
        <f t="shared" si="3"/>
        <v>8832.99</v>
      </c>
      <c r="J25" s="17">
        <f t="shared" si="6"/>
        <v>36789.369999999995</v>
      </c>
      <c r="L25" s="43">
        <v>1164469243</v>
      </c>
    </row>
    <row r="26" spans="1:12" x14ac:dyDescent="0.2">
      <c r="A26" s="1" t="s">
        <v>27</v>
      </c>
      <c r="B26" s="43" t="s">
        <v>47</v>
      </c>
      <c r="C26" s="7" t="s">
        <v>23</v>
      </c>
      <c r="D26" s="8">
        <v>1.1000000000000001E-3</v>
      </c>
      <c r="E26" s="16">
        <f t="shared" si="1"/>
        <v>7226.48</v>
      </c>
      <c r="F26" s="16">
        <f t="shared" si="4"/>
        <v>1872.08</v>
      </c>
      <c r="G26" s="16">
        <f t="shared" si="2"/>
        <v>1809.68</v>
      </c>
      <c r="H26" s="62">
        <f t="shared" si="5"/>
        <v>1809.68</v>
      </c>
      <c r="I26" s="49">
        <f t="shared" si="3"/>
        <v>1735.05</v>
      </c>
      <c r="J26" s="17">
        <f t="shared" si="6"/>
        <v>7226.4900000000007</v>
      </c>
      <c r="L26" s="43">
        <v>1417988833</v>
      </c>
    </row>
    <row r="27" spans="1:12" x14ac:dyDescent="0.2">
      <c r="A27" s="1" t="s">
        <v>27</v>
      </c>
      <c r="B27" s="43" t="s">
        <v>48</v>
      </c>
      <c r="C27" s="1" t="s">
        <v>24</v>
      </c>
      <c r="D27" s="8">
        <v>5.1000000000000004E-3</v>
      </c>
      <c r="E27" s="16">
        <f t="shared" si="1"/>
        <v>33504.61</v>
      </c>
      <c r="F27" s="16">
        <f t="shared" si="4"/>
        <v>8679.64</v>
      </c>
      <c r="G27" s="16">
        <f t="shared" si="2"/>
        <v>8390.32</v>
      </c>
      <c r="H27" s="62">
        <f t="shared" si="5"/>
        <v>8390.32</v>
      </c>
      <c r="I27" s="49">
        <f t="shared" si="3"/>
        <v>8044.33</v>
      </c>
      <c r="J27" s="17">
        <f t="shared" si="6"/>
        <v>33504.61</v>
      </c>
      <c r="L27" s="43" t="s">
        <v>55</v>
      </c>
    </row>
    <row r="28" spans="1:12" ht="13.5" thickBot="1" x14ac:dyDescent="0.25">
      <c r="C28" s="9" t="s">
        <v>12</v>
      </c>
      <c r="D28" s="10">
        <f t="shared" ref="D28:I28" si="7">SUM(D19:D27)</f>
        <v>1.0000000000000002</v>
      </c>
      <c r="E28" s="18">
        <f t="shared" si="7"/>
        <v>6569531</v>
      </c>
      <c r="F28" s="19">
        <f t="shared" si="7"/>
        <v>1701890.0000000002</v>
      </c>
      <c r="G28" s="19">
        <f t="shared" si="7"/>
        <v>1645161</v>
      </c>
      <c r="H28" s="63">
        <f t="shared" si="7"/>
        <v>1645161</v>
      </c>
      <c r="I28" s="50">
        <f t="shared" si="7"/>
        <v>1577319.0000000002</v>
      </c>
      <c r="J28" s="20">
        <f>SUM(F28:I28)</f>
        <v>6569531</v>
      </c>
    </row>
    <row r="29" spans="1:12" ht="13.5" thickTop="1" x14ac:dyDescent="0.2">
      <c r="D29" s="7"/>
      <c r="E29" s="7"/>
      <c r="F29" s="7"/>
      <c r="G29" s="7"/>
      <c r="H29" s="7"/>
      <c r="I29" s="11"/>
      <c r="J29" s="7"/>
    </row>
  </sheetData>
  <mergeCells count="7">
    <mergeCell ref="H13:H14"/>
    <mergeCell ref="H5:H6"/>
    <mergeCell ref="A1:J1"/>
    <mergeCell ref="H4:J4"/>
    <mergeCell ref="H8:J8"/>
    <mergeCell ref="H9:H10"/>
    <mergeCell ref="H11:H12"/>
  </mergeCells>
  <printOptions horizontalCentered="1" verticalCentered="1"/>
  <pageMargins left="0.85" right="0.75" top="0.75" bottom="0.75" header="0.5" footer="0.5"/>
  <pageSetup scale="97" orientation="landscape" r:id="rId1"/>
  <headerFooter alignWithMargins="0">
    <oddFooter>&amp;L&amp;8&amp;Z&amp;F&amp;R&amp;"Times New Roman,Regular"&amp;8Page &amp;P of &amp;N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>
      <selection activeCell="F29" sqref="F29"/>
    </sheetView>
  </sheetViews>
  <sheetFormatPr defaultColWidth="4" defaultRowHeight="12.75" x14ac:dyDescent="0.2"/>
  <cols>
    <col min="1" max="1" width="12.85546875" style="46" bestFit="1" customWidth="1"/>
    <col min="2" max="2" width="12.7109375" style="46" bestFit="1" customWidth="1"/>
    <col min="3" max="3" width="6.7109375" style="46" bestFit="1" customWidth="1"/>
    <col min="4" max="4" width="4" style="46"/>
    <col min="5" max="5" width="12.85546875" style="46" bestFit="1" customWidth="1"/>
    <col min="6" max="6" width="12.7109375" style="46" bestFit="1" customWidth="1"/>
    <col min="7" max="7" width="6.7109375" style="46" bestFit="1" customWidth="1"/>
    <col min="8" max="8" width="4" style="46"/>
    <col min="9" max="9" width="12.85546875" style="46" bestFit="1" customWidth="1"/>
    <col min="10" max="10" width="12.7109375" style="46" bestFit="1" customWidth="1"/>
    <col min="11" max="11" width="6.7109375" style="46" bestFit="1" customWidth="1"/>
    <col min="12" max="12" width="4" style="46"/>
    <col min="13" max="13" width="12.85546875" style="46" bestFit="1" customWidth="1"/>
    <col min="14" max="14" width="12.7109375" style="46" bestFit="1" customWidth="1"/>
    <col min="15" max="15" width="6.7109375" style="46" bestFit="1" customWidth="1"/>
    <col min="16" max="16384" width="4" style="46"/>
  </cols>
  <sheetData>
    <row r="1" spans="1:15" ht="13.5" thickBot="1" x14ac:dyDescent="0.25">
      <c r="A1" s="60" t="s">
        <v>33</v>
      </c>
      <c r="B1" s="61"/>
      <c r="C1" s="61"/>
    </row>
    <row r="2" spans="1:15" ht="13.5" thickBot="1" x14ac:dyDescent="0.25"/>
    <row r="3" spans="1:15" ht="13.5" thickBot="1" x14ac:dyDescent="0.25">
      <c r="A3" s="57" t="s">
        <v>49</v>
      </c>
      <c r="B3" s="58"/>
      <c r="C3" s="59"/>
      <c r="E3" s="57" t="s">
        <v>50</v>
      </c>
      <c r="F3" s="58"/>
      <c r="G3" s="59"/>
      <c r="I3" s="57" t="s">
        <v>51</v>
      </c>
      <c r="J3" s="58"/>
      <c r="K3" s="59"/>
      <c r="M3" s="57" t="s">
        <v>52</v>
      </c>
      <c r="N3" s="58"/>
      <c r="O3" s="59"/>
    </row>
    <row r="4" spans="1:15" ht="26.25" thickBot="1" x14ac:dyDescent="0.25">
      <c r="A4" s="26" t="s">
        <v>30</v>
      </c>
      <c r="B4" s="29" t="s">
        <v>32</v>
      </c>
      <c r="C4" s="26" t="s">
        <v>31</v>
      </c>
      <c r="E4" s="26" t="s">
        <v>30</v>
      </c>
      <c r="F4" s="29" t="s">
        <v>32</v>
      </c>
      <c r="G4" s="26" t="s">
        <v>31</v>
      </c>
      <c r="I4" s="26" t="s">
        <v>30</v>
      </c>
      <c r="J4" s="29" t="s">
        <v>32</v>
      </c>
      <c r="K4" s="26" t="s">
        <v>31</v>
      </c>
      <c r="M4" s="26" t="s">
        <v>30</v>
      </c>
      <c r="N4" s="29" t="s">
        <v>32</v>
      </c>
      <c r="O4" s="26" t="s">
        <v>31</v>
      </c>
    </row>
    <row r="5" spans="1:15" ht="26.25" thickBot="1" x14ac:dyDescent="0.25">
      <c r="A5" s="30" t="s">
        <v>40</v>
      </c>
      <c r="B5" s="31">
        <f>VLOOKUP(A5,Summary!B:J,5,FALSE)</f>
        <v>1267057.1100000001</v>
      </c>
      <c r="C5" s="30" t="s">
        <v>27</v>
      </c>
      <c r="E5" s="30" t="s">
        <v>40</v>
      </c>
      <c r="F5" s="31">
        <f>VLOOKUP(E5,Summary!B:J,6,FALSE)</f>
        <v>1224822.3600000001</v>
      </c>
      <c r="G5" s="30" t="s">
        <v>27</v>
      </c>
      <c r="I5" s="30" t="s">
        <v>40</v>
      </c>
      <c r="J5" s="31">
        <f>VLOOKUP(I5,Summary!B:J,7,FALSE)</f>
        <v>1224822.3600000001</v>
      </c>
      <c r="K5" s="30" t="s">
        <v>27</v>
      </c>
      <c r="M5" s="30" t="s">
        <v>40</v>
      </c>
      <c r="N5" s="31">
        <f>VLOOKUP(M5,Summary!B:J,8,FALSE)</f>
        <v>1174314</v>
      </c>
      <c r="O5" s="30" t="s">
        <v>27</v>
      </c>
    </row>
    <row r="6" spans="1:15" ht="26.25" thickBot="1" x14ac:dyDescent="0.25">
      <c r="A6" s="30" t="s">
        <v>41</v>
      </c>
      <c r="B6" s="31">
        <f>VLOOKUP(A6,Summary!B:J,5,FALSE)</f>
        <v>191973.19</v>
      </c>
      <c r="C6" s="30" t="s">
        <v>27</v>
      </c>
      <c r="E6" s="30" t="s">
        <v>41</v>
      </c>
      <c r="F6" s="31">
        <f>VLOOKUP(E6,Summary!B:J,6,FALSE)</f>
        <v>185574.16</v>
      </c>
      <c r="G6" s="30" t="s">
        <v>27</v>
      </c>
      <c r="I6" s="30" t="s">
        <v>41</v>
      </c>
      <c r="J6" s="31">
        <f>VLOOKUP(I6,Summary!B:J,7,FALSE)</f>
        <v>185574.16</v>
      </c>
      <c r="K6" s="30" t="s">
        <v>27</v>
      </c>
      <c r="M6" s="30" t="s">
        <v>41</v>
      </c>
      <c r="N6" s="31">
        <f>VLOOKUP(M6,Summary!B:J,8,FALSE)</f>
        <v>177921.58</v>
      </c>
      <c r="O6" s="30" t="s">
        <v>27</v>
      </c>
    </row>
    <row r="7" spans="1:15" ht="26.25" thickBot="1" x14ac:dyDescent="0.25">
      <c r="A7" s="30" t="s">
        <v>42</v>
      </c>
      <c r="B7" s="31">
        <f>VLOOKUP(A7,Summary!B:J,5,FALSE)</f>
        <v>3573.97</v>
      </c>
      <c r="C7" s="30" t="s">
        <v>27</v>
      </c>
      <c r="E7" s="30" t="s">
        <v>42</v>
      </c>
      <c r="F7" s="31">
        <f>VLOOKUP(E7,Summary!B:J,6,FALSE)</f>
        <v>3454.84</v>
      </c>
      <c r="G7" s="30" t="s">
        <v>27</v>
      </c>
      <c r="I7" s="30" t="s">
        <v>42</v>
      </c>
      <c r="J7" s="31">
        <f>VLOOKUP(I7,Summary!B:J,7,FALSE)</f>
        <v>3454.84</v>
      </c>
      <c r="K7" s="30" t="s">
        <v>27</v>
      </c>
      <c r="M7" s="30" t="s">
        <v>42</v>
      </c>
      <c r="N7" s="31">
        <f>VLOOKUP(M7,Summary!B:J,8,FALSE)</f>
        <v>3312.37</v>
      </c>
      <c r="O7" s="30" t="s">
        <v>27</v>
      </c>
    </row>
    <row r="8" spans="1:15" ht="26.25" thickBot="1" x14ac:dyDescent="0.25">
      <c r="A8" s="30" t="s">
        <v>43</v>
      </c>
      <c r="B8" s="31">
        <f>VLOOKUP(A8,Summary!B:J,5,FALSE)</f>
        <v>140065.54999999999</v>
      </c>
      <c r="C8" s="30" t="s">
        <v>27</v>
      </c>
      <c r="E8" s="30" t="s">
        <v>43</v>
      </c>
      <c r="F8" s="31">
        <f>VLOOKUP(E8,Summary!B:J,6,FALSE)</f>
        <v>135396.75</v>
      </c>
      <c r="G8" s="30" t="s">
        <v>27</v>
      </c>
      <c r="I8" s="30" t="s">
        <v>43</v>
      </c>
      <c r="J8" s="31">
        <f>VLOOKUP(I8,Summary!B:J,7,FALSE)</f>
        <v>135396.75</v>
      </c>
      <c r="K8" s="30" t="s">
        <v>27</v>
      </c>
      <c r="M8" s="30" t="s">
        <v>43</v>
      </c>
      <c r="N8" s="31">
        <f>VLOOKUP(M8,Summary!B:J,8,FALSE)</f>
        <v>129813.35</v>
      </c>
      <c r="O8" s="30" t="s">
        <v>27</v>
      </c>
    </row>
    <row r="9" spans="1:15" ht="26.25" thickBot="1" x14ac:dyDescent="0.25">
      <c r="A9" s="30" t="s">
        <v>44</v>
      </c>
      <c r="B9" s="31">
        <f>VLOOKUP(A9,Summary!B:J,5,FALSE)</f>
        <v>45780.84</v>
      </c>
      <c r="C9" s="30" t="s">
        <v>29</v>
      </c>
      <c r="E9" s="30" t="s">
        <v>44</v>
      </c>
      <c r="F9" s="31">
        <f>VLOOKUP(E9,Summary!B:J,6,FALSE)</f>
        <v>44254.83</v>
      </c>
      <c r="G9" s="30" t="s">
        <v>29</v>
      </c>
      <c r="I9" s="30" t="s">
        <v>44</v>
      </c>
      <c r="J9" s="31">
        <f>VLOOKUP(I9,Summary!B:J,7,FALSE)</f>
        <v>44254.83</v>
      </c>
      <c r="K9" s="30" t="s">
        <v>29</v>
      </c>
      <c r="M9" s="30" t="s">
        <v>44</v>
      </c>
      <c r="N9" s="31">
        <f>VLOOKUP(M9,Summary!B:J,8,FALSE)</f>
        <v>42429.88</v>
      </c>
      <c r="O9" s="30" t="s">
        <v>29</v>
      </c>
    </row>
    <row r="10" spans="1:15" ht="26.25" thickBot="1" x14ac:dyDescent="0.25">
      <c r="A10" s="30" t="s">
        <v>45</v>
      </c>
      <c r="B10" s="31">
        <f>VLOOKUP(A10,Summary!B:J,5,FALSE)</f>
        <v>33357.040000000001</v>
      </c>
      <c r="C10" s="30" t="s">
        <v>28</v>
      </c>
      <c r="E10" s="30" t="s">
        <v>45</v>
      </c>
      <c r="F10" s="31">
        <f>VLOOKUP(E10,Summary!B:J,6,FALSE)</f>
        <v>32245.16</v>
      </c>
      <c r="G10" s="30" t="s">
        <v>28</v>
      </c>
      <c r="I10" s="30" t="s">
        <v>45</v>
      </c>
      <c r="J10" s="31">
        <f>VLOOKUP(I10,Summary!B:J,7,FALSE)</f>
        <v>32245.16</v>
      </c>
      <c r="K10" s="30" t="s">
        <v>28</v>
      </c>
      <c r="M10" s="30" t="s">
        <v>45</v>
      </c>
      <c r="N10" s="31">
        <f>VLOOKUP(M10,Summary!B:J,8,FALSE)</f>
        <v>30915.45</v>
      </c>
      <c r="O10" s="30" t="s">
        <v>28</v>
      </c>
    </row>
    <row r="11" spans="1:15" ht="26.25" thickBot="1" x14ac:dyDescent="0.25">
      <c r="A11" s="30" t="s">
        <v>46</v>
      </c>
      <c r="B11" s="31">
        <f>VLOOKUP(A11,Summary!B:J,5,FALSE)</f>
        <v>9530.58</v>
      </c>
      <c r="C11" s="30" t="s">
        <v>27</v>
      </c>
      <c r="E11" s="30" t="s">
        <v>46</v>
      </c>
      <c r="F11" s="31">
        <f>VLOOKUP(E11,Summary!B:J,6,FALSE)</f>
        <v>9212.9</v>
      </c>
      <c r="G11" s="30" t="s">
        <v>27</v>
      </c>
      <c r="I11" s="30" t="s">
        <v>46</v>
      </c>
      <c r="J11" s="31">
        <f>VLOOKUP(I11,Summary!B:J,7,FALSE)</f>
        <v>9212.9</v>
      </c>
      <c r="K11" s="30" t="s">
        <v>27</v>
      </c>
      <c r="M11" s="30" t="s">
        <v>46</v>
      </c>
      <c r="N11" s="31">
        <f>VLOOKUP(M11,Summary!B:J,8,FALSE)</f>
        <v>8832.99</v>
      </c>
      <c r="O11" s="30" t="s">
        <v>27</v>
      </c>
    </row>
    <row r="12" spans="1:15" ht="26.25" thickBot="1" x14ac:dyDescent="0.25">
      <c r="A12" s="30" t="s">
        <v>47</v>
      </c>
      <c r="B12" s="31">
        <f>VLOOKUP(A12,Summary!B:J,5,FALSE)</f>
        <v>1872.08</v>
      </c>
      <c r="C12" s="30" t="s">
        <v>27</v>
      </c>
      <c r="E12" s="30" t="s">
        <v>47</v>
      </c>
      <c r="F12" s="31">
        <f>VLOOKUP(E12,Summary!B:J,6,FALSE)</f>
        <v>1809.68</v>
      </c>
      <c r="G12" s="30" t="s">
        <v>27</v>
      </c>
      <c r="I12" s="30" t="s">
        <v>47</v>
      </c>
      <c r="J12" s="31">
        <f>VLOOKUP(I12,Summary!B:J,7,FALSE)</f>
        <v>1809.68</v>
      </c>
      <c r="K12" s="30" t="s">
        <v>27</v>
      </c>
      <c r="M12" s="30" t="s">
        <v>47</v>
      </c>
      <c r="N12" s="31">
        <f>VLOOKUP(M12,Summary!B:J,8,FALSE)</f>
        <v>1735.05</v>
      </c>
      <c r="O12" s="30" t="s">
        <v>27</v>
      </c>
    </row>
    <row r="13" spans="1:15" ht="26.25" thickBot="1" x14ac:dyDescent="0.25">
      <c r="A13" s="30" t="s">
        <v>48</v>
      </c>
      <c r="B13" s="31">
        <f>VLOOKUP(A13,Summary!B:J,5,FALSE)</f>
        <v>8679.64</v>
      </c>
      <c r="C13" s="30" t="s">
        <v>27</v>
      </c>
      <c r="E13" s="30" t="s">
        <v>48</v>
      </c>
      <c r="F13" s="31">
        <f>VLOOKUP(E13,Summary!B:J,6,FALSE)</f>
        <v>8390.32</v>
      </c>
      <c r="G13" s="30" t="s">
        <v>27</v>
      </c>
      <c r="I13" s="30" t="s">
        <v>48</v>
      </c>
      <c r="J13" s="31">
        <f>VLOOKUP(I13,Summary!B:J,7,FALSE)</f>
        <v>8390.32</v>
      </c>
      <c r="K13" s="30" t="s">
        <v>27</v>
      </c>
      <c r="M13" s="30" t="s">
        <v>48</v>
      </c>
      <c r="N13" s="31">
        <f>VLOOKUP(M13,Summary!B:J,8,FALSE)</f>
        <v>8044.33</v>
      </c>
      <c r="O13" s="30" t="s">
        <v>27</v>
      </c>
    </row>
    <row r="14" spans="1:15" ht="26.25" thickBot="1" x14ac:dyDescent="0.25">
      <c r="A14" s="27" t="s">
        <v>25</v>
      </c>
      <c r="B14" s="32">
        <f>SUM(B5:B13)</f>
        <v>1701890.0000000002</v>
      </c>
      <c r="C14" s="28"/>
      <c r="E14" s="27" t="s">
        <v>25</v>
      </c>
      <c r="F14" s="32">
        <f>SUM(F5:F13)</f>
        <v>1645161</v>
      </c>
      <c r="G14" s="28"/>
      <c r="I14" s="27" t="s">
        <v>25</v>
      </c>
      <c r="J14" s="32">
        <f>SUM(J5:J13)</f>
        <v>1645161</v>
      </c>
      <c r="K14" s="28"/>
      <c r="M14" s="27" t="s">
        <v>25</v>
      </c>
      <c r="N14" s="32">
        <f>SUM(N5:N13)</f>
        <v>1577319.0000000002</v>
      </c>
      <c r="O14" s="28"/>
    </row>
  </sheetData>
  <mergeCells count="5">
    <mergeCell ref="M3:O3"/>
    <mergeCell ref="A1:C1"/>
    <mergeCell ref="A3:C3"/>
    <mergeCell ref="E3:G3"/>
    <mergeCell ref="I3:K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C407EB-9115-4C58-B546-5C439A574D89}"/>
</file>

<file path=customXml/itemProps2.xml><?xml version="1.0" encoding="utf-8"?>
<ds:datastoreItem xmlns:ds="http://schemas.openxmlformats.org/officeDocument/2006/customXml" ds:itemID="{B813A86F-CAAD-4AF5-B216-37F06421B7CB}"/>
</file>

<file path=customXml/itemProps3.xml><?xml version="1.0" encoding="utf-8"?>
<ds:datastoreItem xmlns:ds="http://schemas.openxmlformats.org/officeDocument/2006/customXml" ds:itemID="{C90A2B4D-D1C2-4775-BC6F-CEDF26F1D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Upload</vt:lpstr>
      <vt:lpstr>Payment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</dc:creator>
  <cp:lastModifiedBy>Michael Ashby</cp:lastModifiedBy>
  <cp:lastPrinted>2014-01-02T18:05:04Z</cp:lastPrinted>
  <dcterms:created xsi:type="dcterms:W3CDTF">2001-01-11T18:11:23Z</dcterms:created>
  <dcterms:modified xsi:type="dcterms:W3CDTF">2023-04-06T17:47:54Z</dcterms:modified>
</cp:coreProperties>
</file>